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12" windowWidth="15480" windowHeight="10908" tabRatio="894" activeTab="0"/>
  </bookViews>
  <sheets>
    <sheet name="Sheet1" sheetId="1" r:id="rId1"/>
  </sheets>
  <definedNames>
    <definedName name="_xlfn.RTD" hidden="1">#NAME?</definedName>
    <definedName name="_xlnm.Print_Area" localSheetId="0">'Sheet1'!$A$1:$J$48</definedName>
  </definedNames>
  <calcPr fullCalcOnLoad="1"/>
</workbook>
</file>

<file path=xl/sharedStrings.xml><?xml version="1.0" encoding="utf-8"?>
<sst xmlns="http://schemas.openxmlformats.org/spreadsheetml/2006/main" count="64" uniqueCount="46">
  <si>
    <t>Short Terms Bills</t>
  </si>
  <si>
    <t>Buyback</t>
  </si>
  <si>
    <t>Outstanding</t>
  </si>
  <si>
    <t>W.A.Yield</t>
  </si>
  <si>
    <t>Maturity Date</t>
  </si>
  <si>
    <t>Benchmark Bonds</t>
  </si>
  <si>
    <t>Medium and Long Terms Bonds</t>
  </si>
  <si>
    <t>Allocated</t>
  </si>
  <si>
    <t>Issue volume</t>
  </si>
  <si>
    <t>Issue date</t>
  </si>
  <si>
    <t>Remaining maturity</t>
  </si>
  <si>
    <t>Coupon Yield</t>
  </si>
  <si>
    <t>AMGN60294219</t>
  </si>
  <si>
    <t>AMGB1029A250</t>
  </si>
  <si>
    <t>AMGB20172327</t>
  </si>
  <si>
    <t>AMGB2029A366</t>
  </si>
  <si>
    <t>AMGB1513C200</t>
  </si>
  <si>
    <t>AMGB1419C200</t>
  </si>
  <si>
    <t>AMGB10172212</t>
  </si>
  <si>
    <t>AMGB15213219</t>
  </si>
  <si>
    <t>AMGB1029A235</t>
  </si>
  <si>
    <t>AMGB20072287</t>
  </si>
  <si>
    <t>ISIN</t>
  </si>
  <si>
    <t>AMGN60294227</t>
  </si>
  <si>
    <t>AMGB30163472</t>
  </si>
  <si>
    <t>AMGB1029A276</t>
  </si>
  <si>
    <t>AMGN60294235</t>
  </si>
  <si>
    <t>AMGN60294243</t>
  </si>
  <si>
    <t>AMGN36294228</t>
  </si>
  <si>
    <t>AMGT52296200</t>
  </si>
  <si>
    <t>AMGB1029A292</t>
  </si>
  <si>
    <t>AMGT52038206</t>
  </si>
  <si>
    <t>AMGT52318202</t>
  </si>
  <si>
    <t>AMGT5205A205</t>
  </si>
  <si>
    <t>AMGT5202B200</t>
  </si>
  <si>
    <t>AMGT5230B201</t>
  </si>
  <si>
    <t>AMGT52181212</t>
  </si>
  <si>
    <t>AMGT52012219</t>
  </si>
  <si>
    <t>AMGT52013217</t>
  </si>
  <si>
    <t>AMGT52054211</t>
  </si>
  <si>
    <t>AMGN36294236</t>
  </si>
  <si>
    <t>AMGN60294250</t>
  </si>
  <si>
    <t>AMGB3129A504</t>
  </si>
  <si>
    <t>AMGT52035210</t>
  </si>
  <si>
    <t>AMGT52315216</t>
  </si>
  <si>
    <t>Government Bonds Outstanding as of 10 June, 2020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</si>
</sst>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_);_(* \(#,##0\);_(* &quot;-&quot;??_);_(@_)"/>
    <numFmt numFmtId="189" formatCode="0.0000%"/>
    <numFmt numFmtId="190" formatCode="_ * #,##0_ ;_ * \-#,##0_ ;_ * &quot;-&quot;??_ ;_ @_ "/>
    <numFmt numFmtId="191" formatCode="0.0%"/>
    <numFmt numFmtId="192" formatCode="_(* #,##0.0_);_(* \(#,##0.0\);_(* &quot;-&quot;??_);_(@_)"/>
    <numFmt numFmtId="193" formatCode="0.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00"/>
    <numFmt numFmtId="199" formatCode="0.00000"/>
    <numFmt numFmtId="200" formatCode="0.00000%"/>
    <numFmt numFmtId="201" formatCode="_(* #,##0.0000000_);_(* \(#,##0.0000000\);_(* &quot;-&quot;??_);_(@_)"/>
    <numFmt numFmtId="202" formatCode="_(* #,##0.0000000000_);_(* \(#,##0.0000000000\);_(* &quot;-&quot;??_);_(@_)"/>
    <numFmt numFmtId="203" formatCode="0.000%"/>
    <numFmt numFmtId="204" formatCode="0.000000"/>
    <numFmt numFmtId="205" formatCode="mmm\-yyyy"/>
    <numFmt numFmtId="206" formatCode="_(* #,##0.0000_);_(* \(#,##0.0000\);_(* &quot;-&quot;????_);_(@_)"/>
    <numFmt numFmtId="207" formatCode="[$-409]dddd\,\ mmmm\ dd\,\ yyyy"/>
    <numFmt numFmtId="208" formatCode="[$-409]d\-mmm\-yy;@"/>
    <numFmt numFmtId="209" formatCode="_(* #,##0.0_);_(* \(#,##0.0\);_(* &quot;-&quot;?_);_(@_)"/>
    <numFmt numFmtId="210" formatCode="[$-409]mmm\-yy;@"/>
    <numFmt numFmtId="211" formatCode="0.0"/>
    <numFmt numFmtId="212" formatCode="_-* #,##0.0_-;\-* #,##0.0_-;_-* &quot;-&quot;?_-;_-@_-"/>
    <numFmt numFmtId="213" formatCode="_-* #,##0.0000_-;\-* #,##0.0000_-;_-* &quot;-&quot;????_-;_-@_-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color indexed="10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4"/>
      <color indexed="10"/>
      <name val="GHEA Grapalat"/>
      <family val="3"/>
    </font>
    <font>
      <b/>
      <sz val="12"/>
      <name val="GHEA Grapalat"/>
      <family val="3"/>
    </font>
    <font>
      <b/>
      <sz val="12"/>
      <color indexed="57"/>
      <name val="GHEA Grapalat"/>
      <family val="3"/>
    </font>
    <font>
      <sz val="12"/>
      <name val="GHEA Grapalat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9"/>
      <name val="GHEA Grapalat"/>
      <family val="3"/>
    </font>
    <font>
      <sz val="10"/>
      <color indexed="10"/>
      <name val="GHEA Grapalat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0"/>
      <name val="GHEA Grapalat"/>
      <family val="3"/>
    </font>
    <font>
      <sz val="10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center" wrapText="1"/>
    </xf>
    <xf numFmtId="14" fontId="47" fillId="0" borderId="0" xfId="42" applyNumberFormat="1" applyFont="1" applyAlignment="1">
      <alignment/>
    </xf>
    <xf numFmtId="15" fontId="8" fillId="0" borderId="10" xfId="42" applyNumberFormat="1" applyFont="1" applyBorder="1" applyAlignment="1">
      <alignment horizontal="center" vertical="center" wrapText="1"/>
    </xf>
    <xf numFmtId="1" fontId="8" fillId="0" borderId="11" xfId="42" applyNumberFormat="1" applyFont="1" applyBorder="1" applyAlignment="1">
      <alignment horizontal="center" vertical="center" wrapText="1"/>
    </xf>
    <xf numFmtId="188" fontId="8" fillId="0" borderId="12" xfId="42" applyNumberFormat="1" applyFont="1" applyBorder="1" applyAlignment="1">
      <alignment horizontal="center" vertical="center" wrapText="1"/>
    </xf>
    <xf numFmtId="189" fontId="8" fillId="0" borderId="12" xfId="59" applyNumberFormat="1" applyFont="1" applyBorder="1" applyAlignment="1">
      <alignment horizontal="center" vertical="center" wrapText="1"/>
    </xf>
    <xf numFmtId="15" fontId="8" fillId="0" borderId="12" xfId="0" applyNumberFormat="1" applyFont="1" applyBorder="1" applyAlignment="1">
      <alignment horizontal="center" vertical="center" wrapText="1"/>
    </xf>
    <xf numFmtId="15" fontId="8" fillId="0" borderId="13" xfId="42" applyNumberFormat="1" applyFont="1" applyBorder="1" applyAlignment="1">
      <alignment horizontal="center" vertical="center" wrapText="1"/>
    </xf>
    <xf numFmtId="15" fontId="8" fillId="0" borderId="14" xfId="0" applyNumberFormat="1" applyFont="1" applyBorder="1" applyAlignment="1">
      <alignment/>
    </xf>
    <xf numFmtId="15" fontId="8" fillId="0" borderId="15" xfId="0" applyNumberFormat="1" applyFont="1" applyBorder="1" applyAlignment="1">
      <alignment horizontal="center"/>
    </xf>
    <xf numFmtId="188" fontId="8" fillId="0" borderId="16" xfId="42" applyNumberFormat="1" applyFont="1" applyFill="1" applyBorder="1" applyAlignment="1">
      <alignment/>
    </xf>
    <xf numFmtId="188" fontId="8" fillId="0" borderId="16" xfId="42" applyNumberFormat="1" applyFont="1" applyBorder="1" applyAlignment="1">
      <alignment/>
    </xf>
    <xf numFmtId="188" fontId="8" fillId="0" borderId="17" xfId="42" applyNumberFormat="1" applyFont="1" applyBorder="1" applyAlignment="1">
      <alignment/>
    </xf>
    <xf numFmtId="188" fontId="8" fillId="0" borderId="17" xfId="0" applyNumberFormat="1" applyFont="1" applyBorder="1" applyAlignment="1">
      <alignment/>
    </xf>
    <xf numFmtId="189" fontId="8" fillId="0" borderId="17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/>
    </xf>
    <xf numFmtId="15" fontId="8" fillId="0" borderId="18" xfId="0" applyNumberFormat="1" applyFont="1" applyBorder="1" applyAlignment="1">
      <alignment/>
    </xf>
    <xf numFmtId="15" fontId="8" fillId="0" borderId="19" xfId="0" applyNumberFormat="1" applyFont="1" applyBorder="1" applyAlignment="1">
      <alignment/>
    </xf>
    <xf numFmtId="189" fontId="8" fillId="0" borderId="17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5" fontId="9" fillId="0" borderId="10" xfId="0" applyNumberFormat="1" applyFont="1" applyBorder="1" applyAlignment="1">
      <alignment/>
    </xf>
    <xf numFmtId="15" fontId="9" fillId="0" borderId="20" xfId="0" applyNumberFormat="1" applyFont="1" applyBorder="1" applyAlignment="1">
      <alignment/>
    </xf>
    <xf numFmtId="188" fontId="9" fillId="0" borderId="12" xfId="42" applyNumberFormat="1" applyFont="1" applyBorder="1" applyAlignment="1">
      <alignment/>
    </xf>
    <xf numFmtId="188" fontId="6" fillId="0" borderId="12" xfId="42" applyNumberFormat="1" applyFont="1" applyBorder="1" applyAlignment="1">
      <alignment/>
    </xf>
    <xf numFmtId="189" fontId="9" fillId="0" borderId="11" xfId="0" applyNumberFormat="1" applyFont="1" applyBorder="1" applyAlignment="1">
      <alignment/>
    </xf>
    <xf numFmtId="189" fontId="9" fillId="0" borderId="12" xfId="0" applyNumberFormat="1" applyFont="1" applyBorder="1" applyAlignment="1">
      <alignment/>
    </xf>
    <xf numFmtId="0" fontId="9" fillId="0" borderId="20" xfId="0" applyNumberFormat="1" applyFont="1" applyBorder="1" applyAlignment="1">
      <alignment/>
    </xf>
    <xf numFmtId="15" fontId="9" fillId="0" borderId="13" xfId="0" applyNumberFormat="1" applyFont="1" applyBorder="1" applyAlignment="1">
      <alignment/>
    </xf>
    <xf numFmtId="15" fontId="9" fillId="0" borderId="0" xfId="0" applyNumberFormat="1" applyFont="1" applyBorder="1" applyAlignment="1">
      <alignment/>
    </xf>
    <xf numFmtId="188" fontId="9" fillId="0" borderId="0" xfId="42" applyNumberFormat="1" applyFont="1" applyBorder="1" applyAlignment="1">
      <alignment/>
    </xf>
    <xf numFmtId="188" fontId="6" fillId="0" borderId="0" xfId="42" applyNumberFormat="1" applyFont="1" applyBorder="1" applyAlignment="1">
      <alignment/>
    </xf>
    <xf numFmtId="18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195" fontId="10" fillId="0" borderId="0" xfId="42" applyNumberFormat="1" applyFont="1" applyAlignment="1">
      <alignment/>
    </xf>
    <xf numFmtId="0" fontId="10" fillId="0" borderId="0" xfId="0" applyFont="1" applyBorder="1" applyAlignment="1">
      <alignment horizontal="center"/>
    </xf>
    <xf numFmtId="15" fontId="8" fillId="0" borderId="13" xfId="0" applyNumberFormat="1" applyFont="1" applyBorder="1" applyAlignment="1">
      <alignment horizontal="center" vertical="center" wrapText="1"/>
    </xf>
    <xf numFmtId="188" fontId="5" fillId="0" borderId="0" xfId="42" applyNumberFormat="1" applyFont="1" applyAlignment="1">
      <alignment/>
    </xf>
    <xf numFmtId="0" fontId="9" fillId="0" borderId="12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188" fontId="8" fillId="0" borderId="15" xfId="42" applyNumberFormat="1" applyFont="1" applyBorder="1" applyAlignment="1">
      <alignment/>
    </xf>
    <xf numFmtId="189" fontId="8" fillId="0" borderId="15" xfId="0" applyNumberFormat="1" applyFont="1" applyBorder="1" applyAlignment="1">
      <alignment/>
    </xf>
    <xf numFmtId="0" fontId="48" fillId="0" borderId="0" xfId="0" applyFont="1" applyAlignment="1">
      <alignment/>
    </xf>
    <xf numFmtId="188" fontId="8" fillId="0" borderId="21" xfId="42" applyNumberFormat="1" applyFont="1" applyBorder="1" applyAlignment="1">
      <alignment/>
    </xf>
    <xf numFmtId="189" fontId="8" fillId="0" borderId="21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15" fontId="8" fillId="0" borderId="22" xfId="0" applyNumberFormat="1" applyFont="1" applyBorder="1" applyAlignment="1">
      <alignment/>
    </xf>
    <xf numFmtId="15" fontId="8" fillId="0" borderId="23" xfId="0" applyNumberFormat="1" applyFont="1" applyBorder="1" applyAlignment="1">
      <alignment horizontal="center"/>
    </xf>
    <xf numFmtId="189" fontId="8" fillId="0" borderId="21" xfId="0" applyNumberFormat="1" applyFont="1" applyBorder="1" applyAlignment="1">
      <alignment horizontal="center"/>
    </xf>
    <xf numFmtId="15" fontId="8" fillId="0" borderId="24" xfId="0" applyNumberFormat="1" applyFont="1" applyBorder="1" applyAlignment="1">
      <alignment/>
    </xf>
    <xf numFmtId="188" fontId="8" fillId="0" borderId="15" xfId="0" applyNumberFormat="1" applyFont="1" applyBorder="1" applyAlignment="1">
      <alignment/>
    </xf>
    <xf numFmtId="15" fontId="8" fillId="0" borderId="25" xfId="0" applyNumberFormat="1" applyFont="1" applyBorder="1" applyAlignment="1">
      <alignment/>
    </xf>
    <xf numFmtId="15" fontId="8" fillId="0" borderId="26" xfId="0" applyNumberFormat="1" applyFont="1" applyBorder="1" applyAlignment="1">
      <alignment/>
    </xf>
    <xf numFmtId="15" fontId="8" fillId="33" borderId="15" xfId="0" applyNumberFormat="1" applyFont="1" applyFill="1" applyBorder="1" applyAlignment="1">
      <alignment horizontal="center"/>
    </xf>
    <xf numFmtId="188" fontId="8" fillId="33" borderId="16" xfId="42" applyNumberFormat="1" applyFont="1" applyFill="1" applyBorder="1" applyAlignment="1">
      <alignment/>
    </xf>
    <xf numFmtId="15" fontId="9" fillId="0" borderId="12" xfId="0" applyNumberFormat="1" applyFont="1" applyBorder="1" applyAlignment="1">
      <alignment/>
    </xf>
    <xf numFmtId="188" fontId="8" fillId="0" borderId="12" xfId="42" applyNumberFormat="1" applyFont="1" applyBorder="1" applyAlignment="1">
      <alignment/>
    </xf>
    <xf numFmtId="189" fontId="8" fillId="0" borderId="12" xfId="0" applyNumberFormat="1" applyFont="1" applyBorder="1" applyAlignment="1">
      <alignment/>
    </xf>
    <xf numFmtId="171" fontId="5" fillId="0" borderId="0" xfId="42" applyFont="1" applyAlignment="1">
      <alignment/>
    </xf>
    <xf numFmtId="15" fontId="8" fillId="0" borderId="27" xfId="0" applyNumberFormat="1" applyFont="1" applyBorder="1" applyAlignment="1">
      <alignment/>
    </xf>
    <xf numFmtId="188" fontId="8" fillId="0" borderId="23" xfId="42" applyNumberFormat="1" applyFont="1" applyFill="1" applyBorder="1" applyAlignment="1">
      <alignment/>
    </xf>
    <xf numFmtId="189" fontId="8" fillId="0" borderId="17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35">
      <selection activeCell="A14" sqref="A14:J14"/>
    </sheetView>
  </sheetViews>
  <sheetFormatPr defaultColWidth="9.140625" defaultRowHeight="12.75"/>
  <cols>
    <col min="1" max="1" width="18.57421875" style="1" customWidth="1"/>
    <col min="2" max="2" width="20.57421875" style="1" customWidth="1"/>
    <col min="3" max="4" width="24.00390625" style="1" bestFit="1" customWidth="1"/>
    <col min="5" max="5" width="22.7109375" style="1" bestFit="1" customWidth="1"/>
    <col min="6" max="6" width="28.140625" style="1" bestFit="1" customWidth="1"/>
    <col min="7" max="7" width="19.7109375" style="1" customWidth="1"/>
    <col min="8" max="8" width="15.28125" style="1" customWidth="1"/>
    <col min="9" max="9" width="13.140625" style="1" customWidth="1"/>
    <col min="10" max="10" width="14.00390625" style="1" bestFit="1" customWidth="1"/>
    <col min="11" max="11" width="9.140625" style="1" customWidth="1"/>
    <col min="12" max="12" width="16.00390625" style="1" bestFit="1" customWidth="1"/>
    <col min="13" max="16384" width="9.140625" style="1" customWidth="1"/>
  </cols>
  <sheetData>
    <row r="1" spans="1:10" ht="21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10" ht="18" customHeight="1">
      <c r="A3" s="67" t="s">
        <v>5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21.75" customHeight="1" thickBot="1">
      <c r="A4" s="3"/>
      <c r="B4" s="3"/>
      <c r="C4" s="3"/>
      <c r="D4" s="3"/>
      <c r="E4" s="3"/>
      <c r="F4" s="4"/>
      <c r="G4" s="3"/>
      <c r="H4" s="3"/>
      <c r="I4" s="3"/>
      <c r="J4" s="5">
        <f ca="1">+TODAY()</f>
        <v>43992</v>
      </c>
    </row>
    <row r="5" spans="1:10" ht="48.75" customHeight="1" thickBot="1">
      <c r="A5" s="6" t="s">
        <v>9</v>
      </c>
      <c r="B5" s="7" t="s">
        <v>22</v>
      </c>
      <c r="C5" s="7" t="s">
        <v>8</v>
      </c>
      <c r="D5" s="8" t="s">
        <v>7</v>
      </c>
      <c r="E5" s="8" t="s">
        <v>1</v>
      </c>
      <c r="F5" s="9" t="s">
        <v>2</v>
      </c>
      <c r="G5" s="9" t="s">
        <v>11</v>
      </c>
      <c r="H5" s="9" t="s">
        <v>3</v>
      </c>
      <c r="I5" s="10" t="s">
        <v>10</v>
      </c>
      <c r="J5" s="11" t="s">
        <v>4</v>
      </c>
    </row>
    <row r="6" spans="1:12" ht="21.75" customHeight="1">
      <c r="A6" s="21">
        <v>43584</v>
      </c>
      <c r="B6" s="57" t="s">
        <v>28</v>
      </c>
      <c r="C6" s="58">
        <v>200000000000</v>
      </c>
      <c r="D6" s="15">
        <f>8000000000+5000000000+5000000000+9150000000</f>
        <v>27150000000</v>
      </c>
      <c r="E6" s="16"/>
      <c r="F6" s="17">
        <f aca="true" t="shared" si="0" ref="F6:F11">+D6-E6</f>
        <v>27150000000</v>
      </c>
      <c r="G6" s="18">
        <v>0.075</v>
      </c>
      <c r="H6" s="22">
        <v>0.0679655119705341</v>
      </c>
      <c r="I6" s="19">
        <f aca="true" t="shared" si="1" ref="I6:I11">J6-$J$4</f>
        <v>688</v>
      </c>
      <c r="J6" s="20">
        <v>44680</v>
      </c>
      <c r="L6" s="62"/>
    </row>
    <row r="7" spans="1:10" ht="21.75" customHeight="1">
      <c r="A7" s="21">
        <v>43219</v>
      </c>
      <c r="B7" s="13" t="s">
        <v>26</v>
      </c>
      <c r="C7" s="14">
        <v>200000000000</v>
      </c>
      <c r="D7" s="15">
        <f>8120000000+6000000000+716600000+8056000000+8390000000</f>
        <v>31282600000</v>
      </c>
      <c r="E7" s="16">
        <v>1500000000</v>
      </c>
      <c r="F7" s="17">
        <f t="shared" si="0"/>
        <v>29782600000</v>
      </c>
      <c r="G7" s="18">
        <v>0.08</v>
      </c>
      <c r="H7" s="22">
        <v>0.08427174575759</v>
      </c>
      <c r="I7" s="19">
        <f t="shared" si="1"/>
        <v>1053</v>
      </c>
      <c r="J7" s="20">
        <v>45045</v>
      </c>
    </row>
    <row r="8" spans="1:12" ht="21.75" customHeight="1">
      <c r="A8" s="21">
        <v>43584</v>
      </c>
      <c r="B8" s="13" t="s">
        <v>27</v>
      </c>
      <c r="C8" s="14">
        <v>200000000000</v>
      </c>
      <c r="D8" s="15">
        <f>7200000000+5000000000+195000000+5000000000+12000000000+2380000000</f>
        <v>31775000000</v>
      </c>
      <c r="E8" s="16"/>
      <c r="F8" s="17">
        <f t="shared" si="0"/>
        <v>31775000000</v>
      </c>
      <c r="G8" s="18">
        <v>0.08</v>
      </c>
      <c r="H8" s="22">
        <v>0.0731510380802518</v>
      </c>
      <c r="I8" s="19">
        <f t="shared" si="1"/>
        <v>1419</v>
      </c>
      <c r="J8" s="20">
        <v>45411</v>
      </c>
      <c r="L8" s="40"/>
    </row>
    <row r="9" spans="1:12" ht="21.75" customHeight="1">
      <c r="A9" s="21">
        <v>43584</v>
      </c>
      <c r="B9" s="13" t="s">
        <v>30</v>
      </c>
      <c r="C9" s="14">
        <v>200000000000</v>
      </c>
      <c r="D9" s="15">
        <f>47930000000+896002000+24000000000+478957000+17900000000+92250000</f>
        <v>91297209000</v>
      </c>
      <c r="E9" s="16"/>
      <c r="F9" s="17">
        <f t="shared" si="0"/>
        <v>91297209000</v>
      </c>
      <c r="G9" s="18">
        <v>0.09</v>
      </c>
      <c r="H9" s="22">
        <v>0.0895363137281119</v>
      </c>
      <c r="I9" s="19">
        <f t="shared" si="1"/>
        <v>3428</v>
      </c>
      <c r="J9" s="20">
        <v>47420</v>
      </c>
      <c r="L9" s="40"/>
    </row>
    <row r="10" spans="1:10" ht="21.75" customHeight="1">
      <c r="A10" s="12">
        <v>42489</v>
      </c>
      <c r="B10" s="13" t="s">
        <v>15</v>
      </c>
      <c r="C10" s="14">
        <v>80000000000</v>
      </c>
      <c r="D10" s="16">
        <f>7000000000+12000000000+18000000000+20000000000+2000000000+21000000000</f>
        <v>80000000000</v>
      </c>
      <c r="E10" s="16">
        <f>2500000000+1000000000</f>
        <v>3500000000</v>
      </c>
      <c r="F10" s="17">
        <f t="shared" si="0"/>
        <v>76500000000</v>
      </c>
      <c r="G10" s="18">
        <v>0.13</v>
      </c>
      <c r="H10" s="65">
        <v>0.148228241830065</v>
      </c>
      <c r="I10" s="19">
        <f t="shared" si="1"/>
        <v>5985</v>
      </c>
      <c r="J10" s="20">
        <v>49977</v>
      </c>
    </row>
    <row r="11" spans="1:10" ht="21.75" customHeight="1" thickBot="1">
      <c r="A11" s="50">
        <v>42810</v>
      </c>
      <c r="B11" s="51" t="s">
        <v>24</v>
      </c>
      <c r="C11" s="14">
        <v>200000000000</v>
      </c>
      <c r="D11" s="47">
        <f>21000000000+4200000000+20000000000+1740000000+22000000+24000000000+1510000+25000000000+4415300000+75940000+25245655000</f>
        <v>125700405000</v>
      </c>
      <c r="E11" s="47"/>
      <c r="F11" s="17">
        <f t="shared" si="0"/>
        <v>125700405000</v>
      </c>
      <c r="G11" s="52">
        <v>0.13</v>
      </c>
      <c r="H11" s="48">
        <v>0.119440146718421</v>
      </c>
      <c r="I11" s="49">
        <f t="shared" si="1"/>
        <v>9775</v>
      </c>
      <c r="J11" s="53">
        <v>53767</v>
      </c>
    </row>
    <row r="12" spans="1:10" ht="33.75" customHeight="1" thickBot="1">
      <c r="A12" s="24"/>
      <c r="B12" s="25"/>
      <c r="C12" s="25"/>
      <c r="D12" s="26"/>
      <c r="E12" s="26"/>
      <c r="F12" s="27">
        <f>SUM(F6:F11)</f>
        <v>382205214000</v>
      </c>
      <c r="G12" s="28"/>
      <c r="H12" s="61">
        <f>+SUMPRODUCT(F6:F11,H6:H11)/F12</f>
        <v>0.10781386264262191</v>
      </c>
      <c r="I12" s="30"/>
      <c r="J12" s="31"/>
    </row>
    <row r="13" spans="1:10" ht="21.75" customHeight="1">
      <c r="A13" s="32"/>
      <c r="B13" s="32"/>
      <c r="C13" s="32"/>
      <c r="D13" s="33"/>
      <c r="E13" s="33"/>
      <c r="F13" s="34"/>
      <c r="G13" s="35"/>
      <c r="H13" s="36"/>
      <c r="I13" s="32"/>
      <c r="J13" s="37"/>
    </row>
    <row r="14" spans="1:10" ht="18">
      <c r="A14" s="68" t="s">
        <v>6</v>
      </c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21.75" customHeight="1" thickBot="1">
      <c r="A15" s="38"/>
      <c r="B15" s="38"/>
      <c r="C15" s="38"/>
      <c r="D15" s="38"/>
      <c r="E15" s="38"/>
      <c r="F15" s="38"/>
      <c r="G15" s="38"/>
      <c r="H15" s="38"/>
      <c r="I15" s="32"/>
      <c r="J15" s="37"/>
    </row>
    <row r="16" spans="1:10" ht="45.75" customHeight="1" thickBot="1">
      <c r="A16" s="6" t="s">
        <v>9</v>
      </c>
      <c r="B16" s="7" t="s">
        <v>22</v>
      </c>
      <c r="C16" s="7" t="s">
        <v>8</v>
      </c>
      <c r="D16" s="8" t="s">
        <v>7</v>
      </c>
      <c r="E16" s="8" t="s">
        <v>1</v>
      </c>
      <c r="F16" s="9" t="s">
        <v>2</v>
      </c>
      <c r="G16" s="9" t="s">
        <v>11</v>
      </c>
      <c r="H16" s="9" t="s">
        <v>3</v>
      </c>
      <c r="I16" s="10" t="s">
        <v>10</v>
      </c>
      <c r="J16" s="39" t="s">
        <v>4</v>
      </c>
    </row>
    <row r="17" spans="1:12" ht="21.75" customHeight="1">
      <c r="A17" s="21">
        <v>38699</v>
      </c>
      <c r="B17" s="13" t="s">
        <v>16</v>
      </c>
      <c r="C17" s="14">
        <v>1500000000</v>
      </c>
      <c r="D17" s="16">
        <v>1500000000</v>
      </c>
      <c r="E17" s="16">
        <v>410000000</v>
      </c>
      <c r="F17" s="17">
        <f aca="true" t="shared" si="2" ref="F17:F30">+D17-E17</f>
        <v>1090000000</v>
      </c>
      <c r="G17" s="18">
        <v>0.1</v>
      </c>
      <c r="H17" s="22">
        <v>0.088226</v>
      </c>
      <c r="I17" s="19">
        <f aca="true" t="shared" si="3" ref="I17:I30">J17-$J$4</f>
        <v>186</v>
      </c>
      <c r="J17" s="20">
        <v>44178</v>
      </c>
      <c r="L17" s="40"/>
    </row>
    <row r="18" spans="1:10" ht="21.75" customHeight="1">
      <c r="A18" s="21">
        <v>39070</v>
      </c>
      <c r="B18" s="13" t="s">
        <v>17</v>
      </c>
      <c r="C18" s="14">
        <v>1500000000</v>
      </c>
      <c r="D18" s="15">
        <v>1500000000</v>
      </c>
      <c r="E18" s="16">
        <v>1315813000</v>
      </c>
      <c r="F18" s="17">
        <f t="shared" si="2"/>
        <v>184187000</v>
      </c>
      <c r="G18" s="18">
        <v>0.1</v>
      </c>
      <c r="H18" s="22">
        <v>0.093692</v>
      </c>
      <c r="I18" s="19">
        <f t="shared" si="3"/>
        <v>192</v>
      </c>
      <c r="J18" s="20">
        <v>44184</v>
      </c>
    </row>
    <row r="19" spans="1:10" ht="21.75" customHeight="1">
      <c r="A19" s="21">
        <v>40591</v>
      </c>
      <c r="B19" s="13" t="s">
        <v>18</v>
      </c>
      <c r="C19" s="14">
        <v>35000000000</v>
      </c>
      <c r="D19" s="15">
        <f>16947000000+3000000000+1310000000+6000000000+4500000000</f>
        <v>31757000000</v>
      </c>
      <c r="E19" s="16">
        <f>6500000000+2500000000+1000000000+1000000000+1000000000+1000000000+500000000+1500000000</f>
        <v>15000000000</v>
      </c>
      <c r="F19" s="17">
        <f t="shared" si="2"/>
        <v>16757000000</v>
      </c>
      <c r="G19" s="18">
        <v>0.12</v>
      </c>
      <c r="H19" s="22">
        <v>0.17906305054604</v>
      </c>
      <c r="I19" s="19">
        <f t="shared" si="3"/>
        <v>252</v>
      </c>
      <c r="J19" s="20">
        <v>44244</v>
      </c>
    </row>
    <row r="20" spans="1:10" ht="21.75" customHeight="1">
      <c r="A20" s="12">
        <v>38797</v>
      </c>
      <c r="B20" s="13" t="s">
        <v>19</v>
      </c>
      <c r="C20" s="14">
        <v>1500000000</v>
      </c>
      <c r="D20" s="15">
        <v>1500000000</v>
      </c>
      <c r="E20" s="16">
        <v>1491703000</v>
      </c>
      <c r="F20" s="17">
        <f t="shared" si="2"/>
        <v>8297000</v>
      </c>
      <c r="G20" s="18">
        <v>0.1</v>
      </c>
      <c r="H20" s="22">
        <v>0.086602</v>
      </c>
      <c r="I20" s="19">
        <f t="shared" si="3"/>
        <v>284</v>
      </c>
      <c r="J20" s="20">
        <v>44276</v>
      </c>
    </row>
    <row r="21" spans="1:10" ht="21.75" customHeight="1">
      <c r="A21" s="21">
        <v>42489</v>
      </c>
      <c r="B21" s="13" t="s">
        <v>12</v>
      </c>
      <c r="C21" s="14">
        <v>50000000000</v>
      </c>
      <c r="D21" s="15">
        <f>5000000000+5000000000+5000000000+6000000000+5000000000+5000000000+2000000000+4000000000+3000000000+5000000000+5000000000</f>
        <v>50000000000</v>
      </c>
      <c r="E21" s="16">
        <f>1500000000+1000000000+1000000000+1989750000</f>
        <v>5489750000</v>
      </c>
      <c r="F21" s="17">
        <f t="shared" si="2"/>
        <v>44510250000</v>
      </c>
      <c r="G21" s="18">
        <v>0.1</v>
      </c>
      <c r="H21" s="22">
        <v>0.124088368437607</v>
      </c>
      <c r="I21" s="19">
        <f t="shared" si="3"/>
        <v>323</v>
      </c>
      <c r="J21" s="20">
        <v>44315</v>
      </c>
    </row>
    <row r="22" spans="1:10" ht="21.75" customHeight="1">
      <c r="A22" s="12">
        <v>42854</v>
      </c>
      <c r="B22" s="13" t="s">
        <v>23</v>
      </c>
      <c r="C22" s="14">
        <v>200000000000</v>
      </c>
      <c r="D22" s="15">
        <f>10000000000+1873000000+5000000000+910000000+3495000000+3500000000+2827000000+8000000000+1220000000+22000000+4690000000+8162400000</f>
        <v>49699400000</v>
      </c>
      <c r="E22" s="16">
        <v>1500000000</v>
      </c>
      <c r="F22" s="17">
        <f t="shared" si="2"/>
        <v>48199400000</v>
      </c>
      <c r="G22" s="18">
        <v>0.09</v>
      </c>
      <c r="H22" s="65">
        <v>0.0869394043535812</v>
      </c>
      <c r="I22" s="19">
        <f t="shared" si="3"/>
        <v>688</v>
      </c>
      <c r="J22" s="20">
        <v>44680</v>
      </c>
    </row>
    <row r="23" spans="1:12" ht="21.75" customHeight="1">
      <c r="A23" s="21">
        <v>43950</v>
      </c>
      <c r="B23" s="13" t="s">
        <v>40</v>
      </c>
      <c r="C23" s="14">
        <v>200000000000</v>
      </c>
      <c r="D23" s="15">
        <f>2100000000+10000000000</f>
        <v>12100000000</v>
      </c>
      <c r="E23" s="16"/>
      <c r="F23" s="17">
        <f>+D23-E23</f>
        <v>12100000000</v>
      </c>
      <c r="G23" s="18">
        <v>0.065</v>
      </c>
      <c r="H23" s="65">
        <v>0.0662360991735537</v>
      </c>
      <c r="I23" s="19">
        <f>J23-$J$4</f>
        <v>1053</v>
      </c>
      <c r="J23" s="20">
        <v>45045</v>
      </c>
      <c r="L23" s="40"/>
    </row>
    <row r="24" spans="1:12" ht="21.75" customHeight="1">
      <c r="A24" s="21">
        <v>41576</v>
      </c>
      <c r="B24" s="13" t="s">
        <v>20</v>
      </c>
      <c r="C24" s="14">
        <v>50000000000</v>
      </c>
      <c r="D24" s="15">
        <f>2000000000+3000000000+4000000000+2000000000+1625000000+2000000000+3000000000</f>
        <v>17625000000</v>
      </c>
      <c r="E24" s="16">
        <f>1500000000+1000000000+500000000+1000000000</f>
        <v>4000000000</v>
      </c>
      <c r="F24" s="17">
        <f t="shared" si="2"/>
        <v>13625000000</v>
      </c>
      <c r="G24" s="18">
        <v>0.1</v>
      </c>
      <c r="H24" s="22">
        <v>0.128445798165138</v>
      </c>
      <c r="I24" s="19">
        <f t="shared" si="3"/>
        <v>1236</v>
      </c>
      <c r="J24" s="20">
        <v>45228</v>
      </c>
      <c r="L24" s="40"/>
    </row>
    <row r="25" spans="1:12" ht="21.75" customHeight="1">
      <c r="A25" s="21">
        <v>43950</v>
      </c>
      <c r="B25" s="13" t="s">
        <v>41</v>
      </c>
      <c r="C25" s="14">
        <v>200000000000</v>
      </c>
      <c r="D25" s="15">
        <f>10000000000+10000000000+1951000000</f>
        <v>21951000000</v>
      </c>
      <c r="E25" s="16"/>
      <c r="F25" s="17">
        <f t="shared" si="2"/>
        <v>21951000000</v>
      </c>
      <c r="G25" s="18">
        <v>0.07</v>
      </c>
      <c r="H25" s="22">
        <v>0.0706238561341169</v>
      </c>
      <c r="I25" s="19">
        <f t="shared" si="3"/>
        <v>1784</v>
      </c>
      <c r="J25" s="20">
        <v>45776</v>
      </c>
      <c r="L25" s="40"/>
    </row>
    <row r="26" spans="1:10" ht="21.75" customHeight="1">
      <c r="A26" s="21">
        <v>42306</v>
      </c>
      <c r="B26" s="13" t="s">
        <v>13</v>
      </c>
      <c r="C26" s="14">
        <v>50000000000</v>
      </c>
      <c r="D26" s="15">
        <f>4000000000+2488000000+3000000000+5000000000+5000000000+6000000000+2500000000+4000000000+5000000000+787200000+4799000000</f>
        <v>42574200000</v>
      </c>
      <c r="E26" s="16">
        <f>1000000000+1000000000+1000000000</f>
        <v>3000000000</v>
      </c>
      <c r="F26" s="17">
        <f t="shared" si="2"/>
        <v>39574200000</v>
      </c>
      <c r="G26" s="18">
        <v>0.11</v>
      </c>
      <c r="H26" s="22">
        <v>0.1391529638855618</v>
      </c>
      <c r="I26" s="19">
        <f t="shared" si="3"/>
        <v>1967</v>
      </c>
      <c r="J26" s="20">
        <v>45959</v>
      </c>
    </row>
    <row r="27" spans="1:12" ht="21.75" customHeight="1">
      <c r="A27" s="21">
        <v>43037</v>
      </c>
      <c r="B27" s="13" t="s">
        <v>25</v>
      </c>
      <c r="C27" s="14">
        <v>200000000000</v>
      </c>
      <c r="D27" s="15">
        <f>12000000000+15000000000+2370000000+5900000000+15000000000+150000000</f>
        <v>50420000000</v>
      </c>
      <c r="E27" s="16">
        <f>2000000000+1000000000</f>
        <v>3000000000</v>
      </c>
      <c r="F27" s="17">
        <f t="shared" si="2"/>
        <v>47420000000</v>
      </c>
      <c r="G27" s="18">
        <v>0.1</v>
      </c>
      <c r="H27" s="22">
        <v>0.0968919732180515</v>
      </c>
      <c r="I27" s="19">
        <f t="shared" si="3"/>
        <v>2697</v>
      </c>
      <c r="J27" s="20">
        <v>46689</v>
      </c>
      <c r="L27" s="40"/>
    </row>
    <row r="28" spans="1:10" ht="21.75" customHeight="1">
      <c r="A28" s="12">
        <v>39485</v>
      </c>
      <c r="B28" s="13" t="s">
        <v>21</v>
      </c>
      <c r="C28" s="14">
        <v>80000000000</v>
      </c>
      <c r="D28" s="16">
        <v>32120090000</v>
      </c>
      <c r="E28" s="16">
        <f>5250000000+750000000+1500000000+750000000+750000000+3000000000+1000000000+430000000+1000000000</f>
        <v>14430000000</v>
      </c>
      <c r="F28" s="17">
        <f t="shared" si="2"/>
        <v>17690090000</v>
      </c>
      <c r="G28" s="18">
        <v>0.11</v>
      </c>
      <c r="H28" s="65">
        <v>0.156424258844924</v>
      </c>
      <c r="I28" s="19">
        <f t="shared" si="3"/>
        <v>2798</v>
      </c>
      <c r="J28" s="20">
        <v>46790</v>
      </c>
    </row>
    <row r="29" spans="1:12" ht="21.75" customHeight="1">
      <c r="A29" s="21">
        <v>40956</v>
      </c>
      <c r="B29" s="13" t="s">
        <v>14</v>
      </c>
      <c r="C29" s="14">
        <v>80000000000</v>
      </c>
      <c r="D29" s="15">
        <f>10000000000+12500000000+5000000000+5000000000+5000000000+5000000000+2000000000+3000000000+4000000000+2000000000+4000000000+5000000000+5000000000+2000000000</f>
        <v>69500000000</v>
      </c>
      <c r="E29" s="16">
        <f>1000000000+1000000000+1000000000+3000000000+3000000000+3000000000+1000000000+2000000000+2500000000+2000000000+2000000000+2000000000+2000000000+2000000000+2000000000+1500000000+1000000000+1000000000</f>
        <v>33000000000</v>
      </c>
      <c r="F29" s="17">
        <f t="shared" si="2"/>
        <v>36500000000</v>
      </c>
      <c r="G29" s="18">
        <v>0.13</v>
      </c>
      <c r="H29" s="65">
        <v>0.175146315068493</v>
      </c>
      <c r="I29" s="19">
        <f t="shared" si="3"/>
        <v>4269</v>
      </c>
      <c r="J29" s="20">
        <v>48261</v>
      </c>
      <c r="L29" s="23"/>
    </row>
    <row r="30" spans="1:12" ht="21.75" customHeight="1" thickBot="1">
      <c r="A30" s="63">
        <v>43767</v>
      </c>
      <c r="B30" s="13" t="s">
        <v>42</v>
      </c>
      <c r="C30" s="64">
        <v>200000000000</v>
      </c>
      <c r="D30" s="15">
        <f>25871280000+24000000000+265430000</f>
        <v>50136710000</v>
      </c>
      <c r="E30" s="47"/>
      <c r="F30" s="17">
        <f t="shared" si="2"/>
        <v>50136710000</v>
      </c>
      <c r="G30" s="52">
        <v>0.0975</v>
      </c>
      <c r="H30" s="65">
        <v>0.0983702148627224</v>
      </c>
      <c r="I30" s="49">
        <f t="shared" si="3"/>
        <v>11098</v>
      </c>
      <c r="J30" s="53">
        <v>55090</v>
      </c>
      <c r="L30" s="23"/>
    </row>
    <row r="31" spans="1:10" ht="21.75" customHeight="1" thickBot="1">
      <c r="A31" s="24"/>
      <c r="B31" s="25"/>
      <c r="C31" s="25"/>
      <c r="D31" s="26"/>
      <c r="E31" s="26"/>
      <c r="F31" s="27">
        <f>SUM(F17:F30)</f>
        <v>349746134000</v>
      </c>
      <c r="G31" s="29"/>
      <c r="H31" s="61">
        <f>SUMPRODUCT(F17:F30,H17:H30)/F31</f>
        <v>0.11758120249131328</v>
      </c>
      <c r="I31" s="41"/>
      <c r="J31" s="31"/>
    </row>
    <row r="32" spans="1:12" ht="21.75" customHeight="1">
      <c r="A32" s="32"/>
      <c r="B32" s="32"/>
      <c r="C32" s="32"/>
      <c r="D32" s="33"/>
      <c r="E32" s="33"/>
      <c r="F32" s="34"/>
      <c r="G32" s="35"/>
      <c r="H32" s="36"/>
      <c r="I32" s="32"/>
      <c r="J32" s="37"/>
      <c r="L32" s="23"/>
    </row>
    <row r="33" spans="1:10" ht="21.75" customHeight="1">
      <c r="A33" s="67" t="s">
        <v>0</v>
      </c>
      <c r="B33" s="67"/>
      <c r="C33" s="67"/>
      <c r="D33" s="67"/>
      <c r="E33" s="67"/>
      <c r="F33" s="67"/>
      <c r="G33" s="67"/>
      <c r="H33" s="67"/>
      <c r="I33" s="42"/>
      <c r="J33" s="37"/>
    </row>
    <row r="34" spans="1:10" ht="21.75" customHeight="1" thickBot="1">
      <c r="A34" s="43"/>
      <c r="B34" s="43"/>
      <c r="C34" s="43"/>
      <c r="D34" s="43"/>
      <c r="E34" s="43"/>
      <c r="F34" s="43"/>
      <c r="G34" s="43"/>
      <c r="H34" s="43"/>
      <c r="I34" s="43"/>
      <c r="J34" s="37"/>
    </row>
    <row r="35" spans="1:10" ht="33" thickBot="1">
      <c r="A35" s="6" t="s">
        <v>9</v>
      </c>
      <c r="B35" s="7" t="s">
        <v>22</v>
      </c>
      <c r="C35" s="8" t="s">
        <v>7</v>
      </c>
      <c r="D35" s="8" t="s">
        <v>1</v>
      </c>
      <c r="E35" s="9" t="s">
        <v>2</v>
      </c>
      <c r="F35" s="9" t="s">
        <v>3</v>
      </c>
      <c r="G35" s="10" t="s">
        <v>10</v>
      </c>
      <c r="H35" s="11" t="s">
        <v>4</v>
      </c>
      <c r="J35" s="37"/>
    </row>
    <row r="36" spans="1:9" ht="20.25" customHeight="1">
      <c r="A36" s="55">
        <v>43647</v>
      </c>
      <c r="B36" s="13" t="s">
        <v>29</v>
      </c>
      <c r="C36" s="44">
        <f>1000000000+1000000000+1000000000</f>
        <v>3000000000</v>
      </c>
      <c r="D36" s="44"/>
      <c r="E36" s="54">
        <f aca="true" t="shared" si="4" ref="E36:E47">+C36-D36</f>
        <v>3000000000</v>
      </c>
      <c r="F36" s="45">
        <v>0.058536</v>
      </c>
      <c r="G36" s="19">
        <f>H36-$J$4</f>
        <v>19</v>
      </c>
      <c r="H36" s="56">
        <v>44011</v>
      </c>
      <c r="I36" s="23"/>
    </row>
    <row r="37" spans="1:9" ht="20.25" customHeight="1">
      <c r="A37" s="55">
        <v>43682</v>
      </c>
      <c r="B37" s="13" t="s">
        <v>31</v>
      </c>
      <c r="C37" s="44">
        <f>1000000000+2000000000</f>
        <v>3000000000</v>
      </c>
      <c r="D37" s="44"/>
      <c r="E37" s="54">
        <f t="shared" si="4"/>
        <v>3000000000</v>
      </c>
      <c r="F37" s="45">
        <v>0.056699</v>
      </c>
      <c r="G37" s="19">
        <f>H37-$J$4</f>
        <v>54</v>
      </c>
      <c r="H37" s="56">
        <v>44046</v>
      </c>
      <c r="I37" s="23"/>
    </row>
    <row r="38" spans="1:9" ht="20.25" customHeight="1">
      <c r="A38" s="55">
        <v>43710</v>
      </c>
      <c r="B38" s="13" t="s">
        <v>32</v>
      </c>
      <c r="C38" s="44">
        <f>1000000000+1000000000+1000000000+1000000000</f>
        <v>4000000000</v>
      </c>
      <c r="D38" s="44"/>
      <c r="E38" s="54">
        <f t="shared" si="4"/>
        <v>4000000000</v>
      </c>
      <c r="F38" s="45">
        <v>0.0569895</v>
      </c>
      <c r="G38" s="19">
        <f>H38-$J$4</f>
        <v>82</v>
      </c>
      <c r="H38" s="56">
        <v>44074</v>
      </c>
      <c r="I38" s="23"/>
    </row>
    <row r="39" spans="1:9" ht="20.25" customHeight="1">
      <c r="A39" s="55">
        <v>43745</v>
      </c>
      <c r="B39" s="13" t="s">
        <v>33</v>
      </c>
      <c r="C39" s="44">
        <f>1000000000+1000000000</f>
        <v>2000000000</v>
      </c>
      <c r="D39" s="44"/>
      <c r="E39" s="54">
        <f t="shared" si="4"/>
        <v>2000000000</v>
      </c>
      <c r="F39" s="45">
        <v>0.057192</v>
      </c>
      <c r="G39" s="19">
        <f aca="true" t="shared" si="5" ref="G39:G47">H39-$J$4</f>
        <v>117</v>
      </c>
      <c r="H39" s="56">
        <v>44109</v>
      </c>
      <c r="I39" s="23"/>
    </row>
    <row r="40" spans="1:11" ht="20.25" customHeight="1">
      <c r="A40" s="55">
        <v>43773</v>
      </c>
      <c r="B40" s="13" t="s">
        <v>34</v>
      </c>
      <c r="C40" s="44">
        <f>1000000000+1000000000+1000000000</f>
        <v>3000000000</v>
      </c>
      <c r="D40" s="44"/>
      <c r="E40" s="54">
        <f t="shared" si="4"/>
        <v>3000000000</v>
      </c>
      <c r="F40" s="45">
        <v>0.05675533333333333</v>
      </c>
      <c r="G40" s="19">
        <f t="shared" si="5"/>
        <v>145</v>
      </c>
      <c r="H40" s="56">
        <v>44137</v>
      </c>
      <c r="I40" s="23"/>
      <c r="K40" s="40"/>
    </row>
    <row r="41" spans="1:11" ht="20.25" customHeight="1">
      <c r="A41" s="55">
        <v>43801</v>
      </c>
      <c r="B41" s="13" t="s">
        <v>35</v>
      </c>
      <c r="C41" s="44">
        <f>1000000000+1000000000</f>
        <v>2000000000</v>
      </c>
      <c r="D41" s="44"/>
      <c r="E41" s="54">
        <f t="shared" si="4"/>
        <v>2000000000</v>
      </c>
      <c r="F41" s="45">
        <v>0.056408</v>
      </c>
      <c r="G41" s="19">
        <f t="shared" si="5"/>
        <v>173</v>
      </c>
      <c r="H41" s="56">
        <v>44165</v>
      </c>
      <c r="I41" s="23"/>
      <c r="K41" s="40"/>
    </row>
    <row r="42" spans="1:11" ht="20.25" customHeight="1">
      <c r="A42" s="55">
        <v>43850</v>
      </c>
      <c r="B42" s="13" t="s">
        <v>36</v>
      </c>
      <c r="C42" s="44">
        <f>1000000000+1000+2000000000</f>
        <v>3000001000</v>
      </c>
      <c r="D42" s="44"/>
      <c r="E42" s="54">
        <f t="shared" si="4"/>
        <v>3000001000</v>
      </c>
      <c r="F42" s="45">
        <v>0.056696999931333356</v>
      </c>
      <c r="G42" s="19">
        <f t="shared" si="5"/>
        <v>222</v>
      </c>
      <c r="H42" s="56">
        <v>44214</v>
      </c>
      <c r="I42" s="23"/>
      <c r="K42" s="40"/>
    </row>
    <row r="43" spans="1:11" ht="20.25" customHeight="1">
      <c r="A43" s="55">
        <v>43864</v>
      </c>
      <c r="B43" s="13" t="s">
        <v>37</v>
      </c>
      <c r="C43" s="44">
        <f>1000000000+4000000000</f>
        <v>5000000000</v>
      </c>
      <c r="D43" s="44"/>
      <c r="E43" s="54">
        <f t="shared" si="4"/>
        <v>5000000000</v>
      </c>
      <c r="F43" s="45">
        <v>0.0568058</v>
      </c>
      <c r="G43" s="19">
        <f t="shared" si="5"/>
        <v>236</v>
      </c>
      <c r="H43" s="56">
        <v>44228</v>
      </c>
      <c r="I43" s="23"/>
      <c r="K43" s="40"/>
    </row>
    <row r="44" spans="1:11" ht="20.25" customHeight="1">
      <c r="A44" s="55">
        <v>43892</v>
      </c>
      <c r="B44" s="13" t="s">
        <v>38</v>
      </c>
      <c r="C44" s="44">
        <f>1000000000+4000000000</f>
        <v>5000000000</v>
      </c>
      <c r="D44" s="44"/>
      <c r="E44" s="54">
        <f t="shared" si="4"/>
        <v>5000000000</v>
      </c>
      <c r="F44" s="45">
        <v>0.0576964</v>
      </c>
      <c r="G44" s="19">
        <f t="shared" si="5"/>
        <v>264</v>
      </c>
      <c r="H44" s="56">
        <v>44256</v>
      </c>
      <c r="I44" s="23"/>
      <c r="K44" s="40"/>
    </row>
    <row r="45" spans="1:11" ht="20.25" customHeight="1">
      <c r="A45" s="55">
        <v>43927</v>
      </c>
      <c r="B45" s="13" t="s">
        <v>39</v>
      </c>
      <c r="C45" s="44">
        <v>3000000000</v>
      </c>
      <c r="D45" s="44"/>
      <c r="E45" s="54">
        <f t="shared" si="4"/>
        <v>3000000000</v>
      </c>
      <c r="F45" s="45">
        <v>0.058735</v>
      </c>
      <c r="G45" s="19">
        <f t="shared" si="5"/>
        <v>299</v>
      </c>
      <c r="H45" s="56">
        <v>44291</v>
      </c>
      <c r="I45" s="23"/>
      <c r="K45" s="40"/>
    </row>
    <row r="46" spans="1:11" ht="20.25" customHeight="1">
      <c r="A46" s="55">
        <v>43955</v>
      </c>
      <c r="B46" s="13" t="s">
        <v>43</v>
      </c>
      <c r="C46" s="44">
        <v>1520000000</v>
      </c>
      <c r="D46" s="44"/>
      <c r="E46" s="54">
        <f t="shared" si="4"/>
        <v>1520000000</v>
      </c>
      <c r="F46" s="45">
        <v>0.059463</v>
      </c>
      <c r="G46" s="19">
        <f t="shared" si="5"/>
        <v>327</v>
      </c>
      <c r="H46" s="56">
        <v>44319</v>
      </c>
      <c r="I46" s="23"/>
      <c r="K46" s="40"/>
    </row>
    <row r="47" spans="1:11" ht="20.25" customHeight="1" thickBot="1">
      <c r="A47" s="55">
        <v>43836</v>
      </c>
      <c r="B47" s="13" t="s">
        <v>44</v>
      </c>
      <c r="C47" s="44">
        <v>1250000000</v>
      </c>
      <c r="D47" s="44"/>
      <c r="E47" s="54">
        <f t="shared" si="4"/>
        <v>1250000000</v>
      </c>
      <c r="F47" s="45">
        <v>0.059673</v>
      </c>
      <c r="G47" s="19">
        <f t="shared" si="5"/>
        <v>355</v>
      </c>
      <c r="H47" s="56">
        <v>44347</v>
      </c>
      <c r="I47" s="23"/>
      <c r="K47" s="40"/>
    </row>
    <row r="48" spans="1:10" ht="32.25" customHeight="1" thickBot="1">
      <c r="A48" s="24"/>
      <c r="B48" s="59"/>
      <c r="C48" s="26"/>
      <c r="D48" s="26"/>
      <c r="E48" s="60">
        <f>SUM(E36:E47)</f>
        <v>35770001000</v>
      </c>
      <c r="F48" s="61">
        <f>SUMPRODUCT(F36:F47,E36:E47)/E48</f>
        <v>0.057447889545516086</v>
      </c>
      <c r="G48" s="41"/>
      <c r="H48" s="31"/>
      <c r="I48" s="37"/>
      <c r="J48" s="37"/>
    </row>
    <row r="49" spans="5:6" ht="13.5">
      <c r="E49" s="46"/>
      <c r="F49" s="46"/>
    </row>
    <row r="50" ht="13.5">
      <c r="E50" s="23"/>
    </row>
    <row r="52" ht="13.5">
      <c r="E52" s="23"/>
    </row>
    <row r="53" ht="13.5">
      <c r="E53" s="23"/>
    </row>
    <row r="54" ht="13.5">
      <c r="E54" s="23"/>
    </row>
  </sheetData>
  <sheetProtection/>
  <mergeCells count="4">
    <mergeCell ref="A1:J1"/>
    <mergeCell ref="A33:H33"/>
    <mergeCell ref="A3:J3"/>
    <mergeCell ref="A14:J14"/>
  </mergeCells>
  <printOptions/>
  <pageMargins left="0.33" right="0.16" top="0.16" bottom="0.17" header="0.16" footer="0.16"/>
  <pageSetup horizontalDpi="600" verticalDpi="600" orientation="landscape" scale="70" r:id="rId1"/>
  <ignoredErrors>
    <ignoredError sqref="C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KHKristine</dc:creator>
  <cp:keywords/>
  <dc:description/>
  <cp:lastModifiedBy>Artyom</cp:lastModifiedBy>
  <cp:lastPrinted>2018-02-27T11:58:28Z</cp:lastPrinted>
  <dcterms:created xsi:type="dcterms:W3CDTF">2010-12-10T08:12:32Z</dcterms:created>
  <dcterms:modified xsi:type="dcterms:W3CDTF">2020-06-10T07:50:38Z</dcterms:modified>
  <cp:category/>
  <cp:version/>
  <cp:contentType/>
  <cp:contentStatus/>
</cp:coreProperties>
</file>